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2760" yWindow="32760" windowWidth="15345" windowHeight="666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'Sheet1'!$D$5:$M$29</definedName>
  </definedNames>
  <calcPr fullCalcOnLoad="1"/>
</workbook>
</file>

<file path=xl/sharedStrings.xml><?xml version="1.0" encoding="utf-8"?>
<sst xmlns="http://schemas.openxmlformats.org/spreadsheetml/2006/main" count="42" uniqueCount="39">
  <si>
    <t>使用量</t>
  </si>
  <si>
    <t>判定</t>
  </si>
  <si>
    <t>合     計</t>
  </si>
  <si>
    <t>新料金基本料金表</t>
  </si>
  <si>
    <t>旧基本料金表</t>
  </si>
  <si>
    <t>水量</t>
  </si>
  <si>
    <t>基本料金</t>
  </si>
  <si>
    <t>従量料金</t>
  </si>
  <si>
    <t>小     計</t>
  </si>
  <si>
    <t>消 費 税</t>
  </si>
  <si>
    <t>計算式</t>
  </si>
  <si>
    <t>段階別水量計算表</t>
  </si>
  <si>
    <t>結果</t>
  </si>
  <si>
    <t>単価</t>
  </si>
  <si>
    <t>金 額</t>
  </si>
  <si>
    <t>金額計算</t>
  </si>
  <si>
    <t>旧料金表</t>
  </si>
  <si>
    <t>基本水量</t>
  </si>
  <si>
    <t>単  価</t>
  </si>
  <si>
    <t>金       額</t>
  </si>
  <si>
    <t xml:space="preserve"> か月 〔0.5～2.0〕</t>
  </si>
  <si>
    <t xml:space="preserve"> mm  〔13～150〕</t>
  </si>
  <si>
    <r>
      <t xml:space="preserve"> m</t>
    </r>
    <r>
      <rPr>
        <vertAlign val="superscript"/>
        <sz val="11"/>
        <rFont val="ＭＳ Ｐゴシック"/>
        <family val="3"/>
      </rPr>
      <t>3</t>
    </r>
  </si>
  <si>
    <t>項     目</t>
  </si>
  <si>
    <t>基本料金</t>
  </si>
  <si>
    <t>従量料金</t>
  </si>
  <si>
    <t>小     計</t>
  </si>
  <si>
    <t>消 費 税</t>
  </si>
  <si>
    <t>合     計</t>
  </si>
  <si>
    <t>基本水量</t>
  </si>
  <si>
    <t>判定2</t>
  </si>
  <si>
    <t>税率</t>
  </si>
  <si>
    <t xml:space="preserve">水 道 料 金 早 見 計 算 表 </t>
  </si>
  <si>
    <t>使 用 水 量 を 入 力 し て く だ さ い</t>
  </si>
  <si>
    <t>使 用 期 間 を 入 力 し て く だ さ い</t>
  </si>
  <si>
    <t>口 径 を 入 力 し て く だ さ い  　　　</t>
  </si>
  <si>
    <t xml:space="preserve">  ⇒</t>
  </si>
  <si>
    <t>Ｒ01/10/1～</t>
  </si>
  <si>
    <t>～Ｒ01/9/30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</si>
</sst>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"/>
    <numFmt numFmtId="181" formatCode="#,##0.0;[Red]\-#,##0.0"/>
    <numFmt numFmtId="182" formatCode="#,###&quot; 円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4"/>
      <color indexed="10"/>
      <name val="ＭＳ Ｐゴシック"/>
      <family val="3"/>
    </font>
    <font>
      <sz val="14"/>
      <color indexed="18"/>
      <name val="ＭＳ Ｐゴシック"/>
      <family val="3"/>
    </font>
    <font>
      <sz val="14"/>
      <color indexed="20"/>
      <name val="ＭＳ Ｐゴシック"/>
      <family val="3"/>
    </font>
    <font>
      <sz val="12"/>
      <color indexed="10"/>
      <name val="ＭＳ Ｐゴシック"/>
      <family val="3"/>
    </font>
    <font>
      <sz val="12"/>
      <color indexed="18"/>
      <name val="ＭＳ Ｐゴシック"/>
      <family val="3"/>
    </font>
    <font>
      <sz val="12"/>
      <color indexed="60"/>
      <name val="ＭＳ Ｐゴシック"/>
      <family val="3"/>
    </font>
    <font>
      <sz val="14"/>
      <color indexed="12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4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hair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5" borderId="10" xfId="0" applyFont="1" applyFill="1" applyBorder="1" applyAlignment="1">
      <alignment/>
    </xf>
    <xf numFmtId="0" fontId="4" fillId="5" borderId="11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left"/>
    </xf>
    <xf numFmtId="0" fontId="0" fillId="5" borderId="13" xfId="0" applyFont="1" applyFill="1" applyBorder="1" applyAlignment="1">
      <alignment horizontal="left" vertical="center"/>
    </xf>
    <xf numFmtId="0" fontId="0" fillId="5" borderId="14" xfId="0" applyFont="1" applyFill="1" applyBorder="1" applyAlignment="1">
      <alignment horizontal="left"/>
    </xf>
    <xf numFmtId="0" fontId="0" fillId="5" borderId="13" xfId="0" applyFont="1" applyFill="1" applyBorder="1" applyAlignment="1">
      <alignment horizontal="left"/>
    </xf>
    <xf numFmtId="0" fontId="0" fillId="5" borderId="10" xfId="0" applyFont="1" applyFill="1" applyBorder="1" applyAlignment="1">
      <alignment horizontal="left"/>
    </xf>
    <xf numFmtId="38" fontId="8" fillId="5" borderId="12" xfId="48" applyFont="1" applyFill="1" applyBorder="1" applyAlignment="1">
      <alignment/>
    </xf>
    <xf numFmtId="38" fontId="8" fillId="5" borderId="14" xfId="48" applyFont="1" applyFill="1" applyBorder="1" applyAlignment="1">
      <alignment/>
    </xf>
    <xf numFmtId="38" fontId="8" fillId="5" borderId="15" xfId="48" applyFont="1" applyFill="1" applyBorder="1" applyAlignment="1">
      <alignment/>
    </xf>
    <xf numFmtId="38" fontId="8" fillId="5" borderId="10" xfId="48" applyFont="1" applyFill="1" applyBorder="1" applyAlignment="1">
      <alignment/>
    </xf>
    <xf numFmtId="38" fontId="9" fillId="5" borderId="12" xfId="48" applyFont="1" applyFill="1" applyBorder="1" applyAlignment="1">
      <alignment/>
    </xf>
    <xf numFmtId="0" fontId="4" fillId="5" borderId="12" xfId="0" applyFont="1" applyFill="1" applyBorder="1" applyAlignment="1">
      <alignment/>
    </xf>
    <xf numFmtId="38" fontId="9" fillId="5" borderId="14" xfId="0" applyNumberFormat="1" applyFont="1" applyFill="1" applyBorder="1" applyAlignment="1">
      <alignment horizontal="right"/>
    </xf>
    <xf numFmtId="0" fontId="10" fillId="5" borderId="14" xfId="0" applyFont="1" applyFill="1" applyBorder="1" applyAlignment="1">
      <alignment/>
    </xf>
    <xf numFmtId="38" fontId="9" fillId="5" borderId="14" xfId="0" applyNumberFormat="1" applyFont="1" applyFill="1" applyBorder="1" applyAlignment="1">
      <alignment/>
    </xf>
    <xf numFmtId="0" fontId="4" fillId="5" borderId="14" xfId="0" applyFont="1" applyFill="1" applyBorder="1" applyAlignment="1">
      <alignment/>
    </xf>
    <xf numFmtId="9" fontId="4" fillId="5" borderId="15" xfId="0" applyNumberFormat="1" applyFont="1" applyFill="1" applyBorder="1" applyAlignment="1">
      <alignment/>
    </xf>
    <xf numFmtId="0" fontId="4" fillId="5" borderId="15" xfId="0" applyFont="1" applyFill="1" applyBorder="1" applyAlignment="1">
      <alignment/>
    </xf>
    <xf numFmtId="38" fontId="6" fillId="32" borderId="11" xfId="48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3" borderId="11" xfId="0" applyFill="1" applyBorder="1" applyAlignment="1">
      <alignment/>
    </xf>
    <xf numFmtId="38" fontId="0" fillId="3" borderId="11" xfId="48" applyFont="1" applyFill="1" applyBorder="1" applyAlignment="1">
      <alignment/>
    </xf>
    <xf numFmtId="0" fontId="0" fillId="4" borderId="11" xfId="0" applyFill="1" applyBorder="1" applyAlignment="1">
      <alignment/>
    </xf>
    <xf numFmtId="38" fontId="0" fillId="4" borderId="11" xfId="48" applyFont="1" applyFill="1" applyBorder="1" applyAlignment="1">
      <alignment/>
    </xf>
    <xf numFmtId="0" fontId="0" fillId="10" borderId="11" xfId="0" applyFill="1" applyBorder="1" applyAlignment="1">
      <alignment/>
    </xf>
    <xf numFmtId="0" fontId="0" fillId="10" borderId="13" xfId="0" applyFill="1" applyBorder="1" applyAlignment="1">
      <alignment horizontal="center"/>
    </xf>
    <xf numFmtId="38" fontId="0" fillId="10" borderId="11" xfId="0" applyNumberFormat="1" applyFill="1" applyBorder="1" applyAlignment="1">
      <alignment/>
    </xf>
    <xf numFmtId="0" fontId="0" fillId="10" borderId="11" xfId="0" applyFill="1" applyBorder="1" applyAlignment="1">
      <alignment horizontal="right"/>
    </xf>
    <xf numFmtId="0" fontId="0" fillId="10" borderId="16" xfId="0" applyFill="1" applyBorder="1" applyAlignment="1">
      <alignment/>
    </xf>
    <xf numFmtId="38" fontId="0" fillId="10" borderId="11" xfId="0" applyNumberFormat="1" applyFill="1" applyBorder="1" applyAlignment="1">
      <alignment horizontal="right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 horizontal="right"/>
    </xf>
    <xf numFmtId="2" fontId="3" fillId="33" borderId="11" xfId="0" applyNumberFormat="1" applyFont="1" applyFill="1" applyBorder="1" applyAlignment="1">
      <alignment/>
    </xf>
    <xf numFmtId="38" fontId="5" fillId="33" borderId="11" xfId="48" applyFont="1" applyFill="1" applyBorder="1" applyAlignment="1">
      <alignment/>
    </xf>
    <xf numFmtId="38" fontId="3" fillId="33" borderId="11" xfId="48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38" fontId="2" fillId="0" borderId="0" xfId="0" applyNumberFormat="1" applyFont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/>
    </xf>
    <xf numFmtId="0" fontId="0" fillId="10" borderId="11" xfId="0" applyFill="1" applyBorder="1" applyAlignment="1">
      <alignment horizontal="center" shrinkToFit="1"/>
    </xf>
    <xf numFmtId="0" fontId="0" fillId="32" borderId="11" xfId="0" applyFill="1" applyBorder="1" applyAlignment="1">
      <alignment horizontal="center"/>
    </xf>
    <xf numFmtId="0" fontId="0" fillId="10" borderId="11" xfId="0" applyFill="1" applyBorder="1" applyAlignment="1">
      <alignment shrinkToFit="1"/>
    </xf>
    <xf numFmtId="0" fontId="0" fillId="10" borderId="11" xfId="0" applyFill="1" applyBorder="1" applyAlignment="1">
      <alignment horizontal="center"/>
    </xf>
    <xf numFmtId="9" fontId="0" fillId="35" borderId="11" xfId="0" applyNumberFormat="1" applyFill="1" applyBorder="1" applyAlignment="1">
      <alignment horizontal="center"/>
    </xf>
    <xf numFmtId="0" fontId="0" fillId="34" borderId="0" xfId="0" applyFill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0" fillId="36" borderId="25" xfId="0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0" fillId="36" borderId="26" xfId="0" applyFill="1" applyBorder="1" applyAlignment="1" applyProtection="1">
      <alignment/>
      <protection hidden="1"/>
    </xf>
    <xf numFmtId="0" fontId="3" fillId="36" borderId="26" xfId="0" applyFont="1" applyFill="1" applyBorder="1" applyAlignment="1" applyProtection="1">
      <alignment horizontal="center" vertical="center"/>
      <protection hidden="1"/>
    </xf>
    <xf numFmtId="0" fontId="0" fillId="36" borderId="0" xfId="0" applyFont="1" applyFill="1" applyBorder="1" applyAlignment="1" applyProtection="1">
      <alignment horizontal="left" vertical="center"/>
      <protection hidden="1"/>
    </xf>
    <xf numFmtId="0" fontId="0" fillId="36" borderId="0" xfId="0" applyFill="1" applyBorder="1" applyAlignment="1" applyProtection="1">
      <alignment vertical="center"/>
      <protection hidden="1"/>
    </xf>
    <xf numFmtId="0" fontId="0" fillId="36" borderId="0" xfId="0" applyFill="1" applyBorder="1" applyAlignment="1" applyProtection="1">
      <alignment horizontal="left" vertical="center"/>
      <protection hidden="1"/>
    </xf>
    <xf numFmtId="0" fontId="0" fillId="36" borderId="0" xfId="0" applyFill="1" applyBorder="1" applyAlignment="1" applyProtection="1">
      <alignment vertical="center" shrinkToFit="1"/>
      <protection hidden="1"/>
    </xf>
    <xf numFmtId="0" fontId="0" fillId="36" borderId="0" xfId="0" applyFont="1" applyFill="1" applyBorder="1" applyAlignment="1" applyProtection="1">
      <alignment vertical="center" shrinkToFit="1"/>
      <protection hidden="1"/>
    </xf>
    <xf numFmtId="0" fontId="0" fillId="36" borderId="0" xfId="0" applyFont="1" applyFill="1" applyBorder="1" applyAlignment="1" applyProtection="1">
      <alignment vertical="center"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0" fillId="36" borderId="26" xfId="0" applyFont="1" applyFill="1" applyBorder="1" applyAlignment="1" applyProtection="1">
      <alignment/>
      <protection hidden="1"/>
    </xf>
    <xf numFmtId="0" fontId="3" fillId="37" borderId="27" xfId="0" applyFont="1" applyFill="1" applyBorder="1" applyAlignment="1" applyProtection="1">
      <alignment horizontal="center" vertical="center"/>
      <protection hidden="1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0" fontId="3" fillId="37" borderId="28" xfId="0" applyFont="1" applyFill="1" applyBorder="1" applyAlignment="1" applyProtection="1">
      <alignment horizontal="center" vertical="center" shrinkToFit="1"/>
      <protection hidden="1"/>
    </xf>
    <xf numFmtId="38" fontId="11" fillId="37" borderId="29" xfId="48" applyNumberFormat="1" applyFont="1" applyFill="1" applyBorder="1" applyAlignment="1" applyProtection="1">
      <alignment horizontal="right" vertical="center"/>
      <protection hidden="1"/>
    </xf>
    <xf numFmtId="0" fontId="3" fillId="37" borderId="30" xfId="0" applyFont="1" applyFill="1" applyBorder="1" applyAlignment="1" applyProtection="1">
      <alignment vertical="center"/>
      <protection hidden="1"/>
    </xf>
    <xf numFmtId="38" fontId="6" fillId="37" borderId="11" xfId="48" applyNumberFormat="1" applyFont="1" applyFill="1" applyBorder="1" applyAlignment="1" applyProtection="1">
      <alignment horizontal="right" vertical="center"/>
      <protection hidden="1"/>
    </xf>
    <xf numFmtId="0" fontId="7" fillId="37" borderId="11" xfId="0" applyFont="1" applyFill="1" applyBorder="1" applyAlignment="1" applyProtection="1">
      <alignment vertical="center"/>
      <protection hidden="1"/>
    </xf>
    <xf numFmtId="0" fontId="6" fillId="37" borderId="11" xfId="0" applyFont="1" applyFill="1" applyBorder="1" applyAlignment="1" applyProtection="1">
      <alignment horizontal="right" vertical="center"/>
      <protection hidden="1"/>
    </xf>
    <xf numFmtId="38" fontId="6" fillId="37" borderId="11" xfId="0" applyNumberFormat="1" applyFont="1" applyFill="1" applyBorder="1" applyAlignment="1" applyProtection="1">
      <alignment horizontal="right" vertical="center"/>
      <protection hidden="1"/>
    </xf>
    <xf numFmtId="38" fontId="11" fillId="37" borderId="31" xfId="0" applyNumberFormat="1" applyFont="1" applyFill="1" applyBorder="1" applyAlignment="1" applyProtection="1">
      <alignment vertical="center"/>
      <protection hidden="1"/>
    </xf>
    <xf numFmtId="0" fontId="3" fillId="37" borderId="11" xfId="0" applyFont="1" applyFill="1" applyBorder="1" applyAlignment="1" applyProtection="1">
      <alignment vertical="center"/>
      <protection hidden="1"/>
    </xf>
    <xf numFmtId="0" fontId="3" fillId="37" borderId="32" xfId="0" applyFont="1" applyFill="1" applyBorder="1" applyAlignment="1" applyProtection="1">
      <alignment horizontal="center" vertical="center" shrinkToFit="1"/>
      <protection hidden="1"/>
    </xf>
    <xf numFmtId="0" fontId="48" fillId="37" borderId="33" xfId="0" applyFont="1" applyFill="1" applyBorder="1" applyAlignment="1" applyProtection="1">
      <alignment horizontal="center" vertical="center"/>
      <protection hidden="1"/>
    </xf>
    <xf numFmtId="0" fontId="3" fillId="36" borderId="0" xfId="0" applyFont="1" applyFill="1" applyBorder="1" applyAlignment="1" applyProtection="1">
      <alignment horizontal="center" vertical="center"/>
      <protection hidden="1"/>
    </xf>
    <xf numFmtId="0" fontId="0" fillId="36" borderId="34" xfId="0" applyFill="1" applyBorder="1" applyAlignment="1" applyProtection="1">
      <alignment/>
      <protection hidden="1"/>
    </xf>
    <xf numFmtId="0" fontId="3" fillId="37" borderId="35" xfId="0" applyFont="1" applyFill="1" applyBorder="1" applyAlignment="1" applyProtection="1">
      <alignment horizontal="center" vertical="center" shrinkToFit="1"/>
      <protection hidden="1"/>
    </xf>
    <xf numFmtId="0" fontId="3" fillId="37" borderId="36" xfId="0" applyFont="1" applyFill="1" applyBorder="1" applyAlignment="1" applyProtection="1">
      <alignment vertical="center"/>
      <protection hidden="1"/>
    </xf>
    <xf numFmtId="0" fontId="48" fillId="36" borderId="0" xfId="0" applyFont="1" applyFill="1" applyBorder="1" applyAlignment="1" applyProtection="1">
      <alignment/>
      <protection hidden="1"/>
    </xf>
    <xf numFmtId="0" fontId="0" fillId="36" borderId="37" xfId="0" applyFill="1" applyBorder="1" applyAlignment="1" applyProtection="1">
      <alignment/>
      <protection hidden="1"/>
    </xf>
    <xf numFmtId="0" fontId="0" fillId="36" borderId="38" xfId="0" applyFill="1" applyBorder="1" applyAlignment="1" applyProtection="1">
      <alignment/>
      <protection hidden="1"/>
    </xf>
    <xf numFmtId="0" fontId="0" fillId="36" borderId="39" xfId="0" applyFill="1" applyBorder="1" applyAlignment="1" applyProtection="1">
      <alignment/>
      <protection hidden="1"/>
    </xf>
    <xf numFmtId="0" fontId="5" fillId="38" borderId="40" xfId="0" applyFont="1" applyFill="1" applyBorder="1" applyAlignment="1" applyProtection="1">
      <alignment horizontal="center" vertical="center"/>
      <protection locked="0"/>
    </xf>
    <xf numFmtId="38" fontId="5" fillId="38" borderId="40" xfId="48" applyFont="1" applyFill="1" applyBorder="1" applyAlignment="1" applyProtection="1">
      <alignment horizontal="center" vertical="center" shrinkToFit="1"/>
      <protection locked="0"/>
    </xf>
    <xf numFmtId="9" fontId="49" fillId="39" borderId="40" xfId="0" applyNumberFormat="1" applyFont="1" applyFill="1" applyBorder="1" applyAlignment="1" applyProtection="1">
      <alignment horizontal="right"/>
      <protection hidden="1" locked="0"/>
    </xf>
    <xf numFmtId="0" fontId="0" fillId="4" borderId="41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10" borderId="41" xfId="0" applyFill="1" applyBorder="1" applyAlignment="1">
      <alignment horizontal="center"/>
    </xf>
    <xf numFmtId="0" fontId="0" fillId="10" borderId="29" xfId="0" applyFill="1" applyBorder="1" applyAlignment="1">
      <alignment horizontal="center"/>
    </xf>
    <xf numFmtId="0" fontId="0" fillId="10" borderId="42" xfId="0" applyFill="1" applyBorder="1" applyAlignment="1">
      <alignment horizontal="center"/>
    </xf>
    <xf numFmtId="0" fontId="4" fillId="36" borderId="0" xfId="0" applyFont="1" applyFill="1" applyBorder="1" applyAlignment="1" applyProtection="1">
      <alignment horizontal="right" vertical="center" shrinkToFit="1"/>
      <protection hidden="1"/>
    </xf>
    <xf numFmtId="0" fontId="2" fillId="40" borderId="43" xfId="0" applyFont="1" applyFill="1" applyBorder="1" applyAlignment="1" applyProtection="1">
      <alignment horizontal="center" vertical="center"/>
      <protection hidden="1"/>
    </xf>
    <xf numFmtId="0" fontId="2" fillId="40" borderId="44" xfId="0" applyFont="1" applyFill="1" applyBorder="1" applyAlignment="1" applyProtection="1">
      <alignment horizontal="center" vertical="center"/>
      <protection hidden="1"/>
    </xf>
    <xf numFmtId="0" fontId="2" fillId="40" borderId="45" xfId="0" applyFont="1" applyFill="1" applyBorder="1" applyAlignment="1" applyProtection="1">
      <alignment horizontal="center" vertical="center"/>
      <protection hidden="1"/>
    </xf>
    <xf numFmtId="0" fontId="0" fillId="3" borderId="41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3" fillId="37" borderId="46" xfId="0" applyFont="1" applyFill="1" applyBorder="1" applyAlignment="1" applyProtection="1">
      <alignment horizontal="center" vertical="center"/>
      <protection hidden="1"/>
    </xf>
    <xf numFmtId="0" fontId="3" fillId="37" borderId="47" xfId="0" applyFont="1" applyFill="1" applyBorder="1" applyAlignment="1" applyProtection="1">
      <alignment horizontal="center" vertical="center"/>
      <protection hidden="1"/>
    </xf>
    <xf numFmtId="0" fontId="3" fillId="37" borderId="28" xfId="0" applyFont="1" applyFill="1" applyBorder="1" applyAlignment="1" applyProtection="1">
      <alignment horizontal="center" vertical="center" shrinkToFit="1"/>
      <protection hidden="1"/>
    </xf>
    <xf numFmtId="9" fontId="0" fillId="35" borderId="11" xfId="0" applyNumberForma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38" fontId="5" fillId="37" borderId="41" xfId="0" applyNumberFormat="1" applyFont="1" applyFill="1" applyBorder="1" applyAlignment="1" applyProtection="1">
      <alignment horizontal="right" vertical="center"/>
      <protection hidden="1"/>
    </xf>
    <xf numFmtId="38" fontId="5" fillId="37" borderId="48" xfId="0" applyNumberFormat="1" applyFont="1" applyFill="1" applyBorder="1" applyAlignment="1" applyProtection="1">
      <alignment horizontal="right" vertical="center"/>
      <protection hidden="1"/>
    </xf>
    <xf numFmtId="38" fontId="5" fillId="37" borderId="41" xfId="48" applyFont="1" applyFill="1" applyBorder="1" applyAlignment="1" applyProtection="1">
      <alignment horizontal="right" vertical="center"/>
      <protection hidden="1"/>
    </xf>
    <xf numFmtId="38" fontId="5" fillId="37" borderId="48" xfId="48" applyFont="1" applyFill="1" applyBorder="1" applyAlignment="1" applyProtection="1">
      <alignment horizontal="right" vertical="center"/>
      <protection hidden="1"/>
    </xf>
    <xf numFmtId="0" fontId="0" fillId="5" borderId="41" xfId="0" applyFont="1" applyFill="1" applyBorder="1" applyAlignment="1">
      <alignment horizontal="center"/>
    </xf>
    <xf numFmtId="0" fontId="0" fillId="5" borderId="42" xfId="0" applyFont="1" applyFill="1" applyBorder="1" applyAlignment="1">
      <alignment horizontal="center"/>
    </xf>
    <xf numFmtId="38" fontId="5" fillId="37" borderId="49" xfId="48" applyFont="1" applyFill="1" applyBorder="1" applyAlignment="1" applyProtection="1">
      <alignment horizontal="right" vertical="center"/>
      <protection hidden="1"/>
    </xf>
    <xf numFmtId="38" fontId="5" fillId="37" borderId="50" xfId="48" applyFont="1" applyFill="1" applyBorder="1" applyAlignment="1" applyProtection="1">
      <alignment horizontal="right" vertical="center"/>
      <protection hidden="1"/>
    </xf>
    <xf numFmtId="38" fontId="5" fillId="37" borderId="51" xfId="48" applyFont="1" applyFill="1" applyBorder="1" applyAlignment="1" applyProtection="1">
      <alignment horizontal="right" vertical="center"/>
      <protection hidden="1"/>
    </xf>
    <xf numFmtId="38" fontId="5" fillId="37" borderId="52" xfId="48" applyFont="1" applyFill="1" applyBorder="1" applyAlignment="1" applyProtection="1">
      <alignment horizontal="right" vertical="center"/>
      <protection hidden="1"/>
    </xf>
    <xf numFmtId="0" fontId="0" fillId="36" borderId="0" xfId="0" applyFill="1" applyBorder="1" applyAlignment="1" applyProtection="1">
      <alignment horizontal="left" wrapText="1"/>
      <protection hidden="1"/>
    </xf>
    <xf numFmtId="0" fontId="0" fillId="36" borderId="26" xfId="0" applyFill="1" applyBorder="1" applyAlignment="1" applyProtection="1">
      <alignment horizontal="left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16</xdr:row>
      <xdr:rowOff>104775</xdr:rowOff>
    </xdr:from>
    <xdr:to>
      <xdr:col>12</xdr:col>
      <xdr:colOff>704850</xdr:colOff>
      <xdr:row>19</xdr:row>
      <xdr:rowOff>57150</xdr:rowOff>
    </xdr:to>
    <xdr:sp>
      <xdr:nvSpPr>
        <xdr:cNvPr id="1" name="四角形吹き出し 4"/>
        <xdr:cNvSpPr>
          <a:spLocks/>
        </xdr:cNvSpPr>
      </xdr:nvSpPr>
      <xdr:spPr>
        <a:xfrm>
          <a:off x="8296275" y="2924175"/>
          <a:ext cx="1781175" cy="609600"/>
        </a:xfrm>
        <a:prstGeom prst="wedgeRectCallout">
          <a:avLst>
            <a:gd name="adj1" fmla="val -63444"/>
            <a:gd name="adj2" fmla="val -10574"/>
          </a:avLst>
        </a:prstGeom>
        <a:solidFill>
          <a:srgbClr val="FFFFFF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１円未満の端数については切り捨てとなります。</a:t>
          </a:r>
        </a:p>
      </xdr:txBody>
    </xdr:sp>
    <xdr:clientData/>
  </xdr:twoCellAnchor>
  <xdr:twoCellAnchor editAs="oneCell">
    <xdr:from>
      <xdr:col>4</xdr:col>
      <xdr:colOff>590550</xdr:colOff>
      <xdr:row>5</xdr:row>
      <xdr:rowOff>38100</xdr:rowOff>
    </xdr:from>
    <xdr:to>
      <xdr:col>4</xdr:col>
      <xdr:colOff>1390650</xdr:colOff>
      <xdr:row>9</xdr:row>
      <xdr:rowOff>209550</xdr:rowOff>
    </xdr:to>
    <xdr:pic>
      <xdr:nvPicPr>
        <xdr:cNvPr id="2" name="図 1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514350"/>
          <a:ext cx="800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V37"/>
  <sheetViews>
    <sheetView showGridLines="0" showRowColHeaders="0" showZeros="0" tabSelected="1" showOutlineSymbols="0" workbookViewId="0" topLeftCell="A1">
      <selection activeCell="I7" sqref="I7"/>
    </sheetView>
  </sheetViews>
  <sheetFormatPr defaultColWidth="9.00390625" defaultRowHeight="13.5"/>
  <cols>
    <col min="3" max="3" width="3.625" style="0" customWidth="1"/>
    <col min="4" max="4" width="5.25390625" style="0" customWidth="1"/>
    <col min="5" max="5" width="19.125" style="0" customWidth="1"/>
    <col min="6" max="6" width="16.875" style="0" customWidth="1"/>
    <col min="7" max="7" width="19.75390625" style="0" customWidth="1"/>
    <col min="8" max="8" width="8.25390625" style="0" customWidth="1"/>
    <col min="9" max="9" width="14.375" style="0" customWidth="1"/>
    <col min="10" max="10" width="4.25390625" style="0" customWidth="1"/>
    <col min="11" max="11" width="7.25390625" style="0" customWidth="1"/>
    <col min="12" max="12" width="6.25390625" style="0" customWidth="1"/>
    <col min="13" max="13" width="11.75390625" style="0" customWidth="1"/>
    <col min="14" max="14" width="10.25390625" style="0" customWidth="1"/>
    <col min="15" max="15" width="3.75390625" style="0" customWidth="1"/>
    <col min="16" max="23" width="2.75390625" style="0" customWidth="1"/>
    <col min="24" max="24" width="3.125" style="0" customWidth="1"/>
    <col min="25" max="27" width="8.625" style="0" customWidth="1"/>
    <col min="28" max="28" width="10.125" style="0" bestFit="1" customWidth="1"/>
    <col min="29" max="29" width="4.875" style="0" customWidth="1"/>
    <col min="30" max="30" width="5.125" style="0" customWidth="1"/>
    <col min="32" max="33" width="4.125" style="0" customWidth="1"/>
    <col min="34" max="34" width="4.50390625" style="0" bestFit="1" customWidth="1"/>
    <col min="35" max="35" width="8.75390625" style="0" customWidth="1"/>
    <col min="36" max="36" width="4.375" style="0" customWidth="1"/>
    <col min="37" max="37" width="3.25390625" style="0" customWidth="1"/>
    <col min="38" max="38" width="4.625" style="0" customWidth="1"/>
    <col min="39" max="39" width="6.375" style="0" customWidth="1"/>
    <col min="40" max="40" width="6.625" style="0" customWidth="1"/>
    <col min="41" max="41" width="5.00390625" style="0" customWidth="1"/>
    <col min="42" max="42" width="8.125" style="0" customWidth="1"/>
    <col min="43" max="43" width="4.625" style="0" customWidth="1"/>
    <col min="45" max="45" width="4.125" style="0" customWidth="1"/>
  </cols>
  <sheetData>
    <row r="1" spans="1:27" ht="4.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56"/>
    </row>
    <row r="2" spans="1:27" ht="4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56"/>
    </row>
    <row r="3" spans="1:27" ht="4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56"/>
    </row>
    <row r="4" spans="1:27" ht="4.5" customHeight="1" thickBo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56"/>
    </row>
    <row r="5" spans="1:45" ht="19.5" customHeight="1" thickBot="1">
      <c r="A5" s="64"/>
      <c r="B5" s="64"/>
      <c r="C5" s="64"/>
      <c r="D5" s="110" t="s">
        <v>32</v>
      </c>
      <c r="E5" s="111"/>
      <c r="F5" s="111"/>
      <c r="G5" s="111"/>
      <c r="H5" s="111"/>
      <c r="I5" s="111"/>
      <c r="J5" s="111"/>
      <c r="K5" s="111"/>
      <c r="L5" s="111"/>
      <c r="M5" s="112"/>
      <c r="N5" s="65"/>
      <c r="O5" s="65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57"/>
      <c r="AC5" s="45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7"/>
    </row>
    <row r="6" spans="1:45" ht="12" customHeight="1" thickBot="1">
      <c r="A6" s="64"/>
      <c r="B6" s="64"/>
      <c r="C6" s="64"/>
      <c r="D6" s="67"/>
      <c r="E6" s="68"/>
      <c r="F6" s="68"/>
      <c r="G6" s="68"/>
      <c r="H6" s="68"/>
      <c r="I6" s="68"/>
      <c r="J6" s="68"/>
      <c r="K6" s="68"/>
      <c r="L6" s="68"/>
      <c r="M6" s="69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58"/>
      <c r="AC6" s="48"/>
      <c r="AD6" s="113" t="s">
        <v>3</v>
      </c>
      <c r="AE6" s="114"/>
      <c r="AF6" s="115"/>
      <c r="AG6" s="1"/>
      <c r="AH6" s="103" t="s">
        <v>4</v>
      </c>
      <c r="AI6" s="104"/>
      <c r="AJ6" s="105"/>
      <c r="AK6" s="1"/>
      <c r="AL6" s="106" t="s">
        <v>11</v>
      </c>
      <c r="AM6" s="107"/>
      <c r="AN6" s="107"/>
      <c r="AO6" s="107"/>
      <c r="AP6" s="108"/>
      <c r="AQ6" s="1"/>
      <c r="AR6" s="40" t="s">
        <v>15</v>
      </c>
      <c r="AS6" s="49"/>
    </row>
    <row r="7" spans="1:45" ht="17.25" customHeight="1" thickBot="1" thickTop="1">
      <c r="A7" s="64"/>
      <c r="B7" s="64"/>
      <c r="C7" s="64"/>
      <c r="D7" s="67"/>
      <c r="E7" s="109" t="s">
        <v>35</v>
      </c>
      <c r="F7" s="109"/>
      <c r="G7" s="109"/>
      <c r="H7" s="70" t="s">
        <v>36</v>
      </c>
      <c r="I7" s="100">
        <v>13</v>
      </c>
      <c r="J7" s="71" t="s">
        <v>21</v>
      </c>
      <c r="K7" s="71"/>
      <c r="L7" s="72"/>
      <c r="M7" s="69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58"/>
      <c r="AC7" s="48"/>
      <c r="AD7" s="30">
        <v>13</v>
      </c>
      <c r="AE7" s="31">
        <v>1510</v>
      </c>
      <c r="AF7" s="30">
        <v>8</v>
      </c>
      <c r="AG7" s="1"/>
      <c r="AH7" s="32">
        <v>13</v>
      </c>
      <c r="AI7" s="33">
        <v>1400</v>
      </c>
      <c r="AJ7" s="32">
        <v>8</v>
      </c>
      <c r="AK7" s="1"/>
      <c r="AL7" s="34" t="s">
        <v>1</v>
      </c>
      <c r="AM7" s="59" t="s">
        <v>29</v>
      </c>
      <c r="AN7" s="59" t="s">
        <v>0</v>
      </c>
      <c r="AO7" s="59" t="s">
        <v>12</v>
      </c>
      <c r="AP7" s="59" t="s">
        <v>18</v>
      </c>
      <c r="AQ7" s="1"/>
      <c r="AR7" s="41">
        <f>IF(AL10=0,0,VLOOKUP(I7,AD7:AF15,3,0)*I8)</f>
        <v>16</v>
      </c>
      <c r="AS7" s="49"/>
    </row>
    <row r="8" spans="1:45" ht="17.25" customHeight="1" thickBot="1" thickTop="1">
      <c r="A8" s="64"/>
      <c r="B8" s="64"/>
      <c r="C8" s="64"/>
      <c r="D8" s="67"/>
      <c r="E8" s="109" t="s">
        <v>34</v>
      </c>
      <c r="F8" s="109"/>
      <c r="G8" s="109"/>
      <c r="H8" s="70" t="s">
        <v>36</v>
      </c>
      <c r="I8" s="100">
        <v>2</v>
      </c>
      <c r="J8" s="73" t="s">
        <v>20</v>
      </c>
      <c r="K8" s="71"/>
      <c r="L8" s="72"/>
      <c r="M8" s="69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58"/>
      <c r="AB8" s="29"/>
      <c r="AC8" s="48"/>
      <c r="AD8" s="30">
        <v>20</v>
      </c>
      <c r="AE8" s="31">
        <v>2430</v>
      </c>
      <c r="AF8" s="30">
        <v>8</v>
      </c>
      <c r="AG8" s="1"/>
      <c r="AH8" s="32">
        <v>20</v>
      </c>
      <c r="AI8" s="33">
        <v>2250</v>
      </c>
      <c r="AJ8" s="32">
        <v>8</v>
      </c>
      <c r="AK8" s="1"/>
      <c r="AL8" s="35" t="str">
        <f>IF(I8="",0,IF(I8=0,0,IF(I8&lt;1.5,"1","2")))</f>
        <v>2</v>
      </c>
      <c r="AM8" s="34">
        <f>15*AL8</f>
        <v>30</v>
      </c>
      <c r="AN8" s="36">
        <f>IF(I9="",0,IF(I9=0,0,IF($I$9&lt;=AM8,($I$9-$F$12),(AM8-$F$12))))</f>
        <v>4</v>
      </c>
      <c r="AO8" s="34"/>
      <c r="AP8" s="34">
        <v>190</v>
      </c>
      <c r="AQ8" s="1"/>
      <c r="AR8" s="42">
        <f>IF(AL10=0,0,IF(F12&lt;=0,"",(F12/AR7)))</f>
        <v>1</v>
      </c>
      <c r="AS8" s="49"/>
    </row>
    <row r="9" spans="1:45" ht="17.25" customHeight="1" thickBot="1" thickTop="1">
      <c r="A9" s="64"/>
      <c r="B9" s="64"/>
      <c r="C9" s="64"/>
      <c r="D9" s="67"/>
      <c r="E9" s="109" t="s">
        <v>33</v>
      </c>
      <c r="F9" s="109"/>
      <c r="G9" s="109"/>
      <c r="H9" s="70" t="s">
        <v>36</v>
      </c>
      <c r="I9" s="101">
        <v>20</v>
      </c>
      <c r="J9" s="71" t="s">
        <v>22</v>
      </c>
      <c r="K9" s="71"/>
      <c r="L9" s="72"/>
      <c r="M9" s="69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58"/>
      <c r="AB9" s="29"/>
      <c r="AC9" s="48"/>
      <c r="AD9" s="30">
        <v>25</v>
      </c>
      <c r="AE9" s="31">
        <v>2620</v>
      </c>
      <c r="AF9" s="30">
        <v>0</v>
      </c>
      <c r="AG9" s="1"/>
      <c r="AH9" s="32">
        <v>25</v>
      </c>
      <c r="AI9" s="33">
        <v>2430</v>
      </c>
      <c r="AJ9" s="32">
        <v>0</v>
      </c>
      <c r="AK9" s="1"/>
      <c r="AL9" s="61" t="s">
        <v>30</v>
      </c>
      <c r="AM9" s="34">
        <f>30*AL8</f>
        <v>60</v>
      </c>
      <c r="AN9" s="36">
        <f>IF(AND($I$9&gt;AM8,$I$9&lt;=AM9),($I$9-$F$12-AN8),(AM9-AM8))</f>
        <v>30</v>
      </c>
      <c r="AO9" s="37">
        <f>IF($I$9&lt;=AM8,"",(AN9))</f>
      </c>
      <c r="AP9" s="34">
        <v>215</v>
      </c>
      <c r="AQ9" s="1"/>
      <c r="AR9" s="43">
        <f>IF(AL10=0,0,IF(AND(AR8&gt;1.3,AR8&lt;=2),(AR12*1.3334),(AR12)))</f>
        <v>3020</v>
      </c>
      <c r="AS9" s="49"/>
    </row>
    <row r="10" spans="1:45" ht="17.25" customHeight="1" thickBot="1" thickTop="1">
      <c r="A10" s="64"/>
      <c r="B10" s="64"/>
      <c r="C10" s="64"/>
      <c r="D10" s="67"/>
      <c r="E10" s="74"/>
      <c r="F10" s="75"/>
      <c r="G10" s="75"/>
      <c r="H10" s="76"/>
      <c r="I10" s="68"/>
      <c r="J10" s="68"/>
      <c r="K10" s="77"/>
      <c r="L10" s="77"/>
      <c r="M10" s="78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58"/>
      <c r="AB10" s="29"/>
      <c r="AC10" s="48"/>
      <c r="AD10" s="30">
        <v>30</v>
      </c>
      <c r="AE10" s="31">
        <v>3990</v>
      </c>
      <c r="AF10" s="30">
        <v>0</v>
      </c>
      <c r="AG10" s="1"/>
      <c r="AH10" s="32">
        <v>30</v>
      </c>
      <c r="AI10" s="33">
        <v>3700</v>
      </c>
      <c r="AJ10" s="32">
        <v>0</v>
      </c>
      <c r="AK10" s="1"/>
      <c r="AL10" s="62">
        <f>IF(I7="",0,IF(I7=0,0,1))</f>
        <v>1</v>
      </c>
      <c r="AM10" s="34">
        <f>70*AL8</f>
        <v>140</v>
      </c>
      <c r="AN10" s="36">
        <f>IF(AND($I$9&gt;AM9,$I$9&lt;=AM11),($I$9-$F$12-AN8-AN9),(AM11-AM9))</f>
        <v>140</v>
      </c>
      <c r="AO10" s="37">
        <f>IF($I$9&lt;=AM9,"",(AN10))</f>
      </c>
      <c r="AP10" s="34">
        <v>235</v>
      </c>
      <c r="AQ10" s="1"/>
      <c r="AR10" s="44">
        <f>IF(AR8=2,(1.5*AR9),(AR9))</f>
        <v>3020</v>
      </c>
      <c r="AS10" s="49"/>
    </row>
    <row r="11" spans="1:45" ht="17.25" customHeight="1" thickTop="1">
      <c r="A11" s="64"/>
      <c r="B11" s="64"/>
      <c r="C11" s="64"/>
      <c r="D11" s="67"/>
      <c r="E11" s="79" t="s">
        <v>23</v>
      </c>
      <c r="F11" s="80" t="s">
        <v>17</v>
      </c>
      <c r="G11" s="80" t="s">
        <v>18</v>
      </c>
      <c r="H11" s="116" t="s">
        <v>19</v>
      </c>
      <c r="I11" s="117"/>
      <c r="J11" s="68"/>
      <c r="K11" s="77"/>
      <c r="L11" s="77"/>
      <c r="M11" s="78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58"/>
      <c r="AC11" s="48"/>
      <c r="AD11" s="30">
        <v>40</v>
      </c>
      <c r="AE11" s="31">
        <v>7990</v>
      </c>
      <c r="AF11" s="30">
        <v>0</v>
      </c>
      <c r="AG11" s="1"/>
      <c r="AH11" s="32">
        <v>40</v>
      </c>
      <c r="AI11" s="33">
        <v>7400</v>
      </c>
      <c r="AJ11" s="32">
        <v>0</v>
      </c>
      <c r="AK11" s="1"/>
      <c r="AL11" s="38"/>
      <c r="AM11" s="34">
        <f>100*AL8</f>
        <v>200</v>
      </c>
      <c r="AN11" s="39">
        <f>IF($I$9&lt;=AM11,"",($I$9-$F$12-SUM(F13:F15)))</f>
      </c>
      <c r="AO11" s="37">
        <f>IF($I$9&lt;=AM10,"",(AN11))</f>
      </c>
      <c r="AP11" s="34">
        <v>250</v>
      </c>
      <c r="AQ11" s="1"/>
      <c r="AR11" s="44">
        <f>ROUND(AR10,0)</f>
        <v>3020</v>
      </c>
      <c r="AS11" s="49"/>
    </row>
    <row r="12" spans="1:45" ht="17.25" customHeight="1">
      <c r="A12" s="64"/>
      <c r="B12" s="64"/>
      <c r="C12" s="64"/>
      <c r="D12" s="67"/>
      <c r="E12" s="81" t="s">
        <v>24</v>
      </c>
      <c r="F12" s="82">
        <f>IF(AR17="","",(AR17))*1</f>
        <v>16</v>
      </c>
      <c r="G12" s="83"/>
      <c r="H12" s="121">
        <f>+AR11</f>
        <v>3020</v>
      </c>
      <c r="I12" s="122"/>
      <c r="J12" s="68"/>
      <c r="K12" s="77"/>
      <c r="L12" s="77"/>
      <c r="M12" s="78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58"/>
      <c r="AC12" s="48"/>
      <c r="AD12" s="30">
        <v>50</v>
      </c>
      <c r="AE12" s="31">
        <v>14250</v>
      </c>
      <c r="AF12" s="30">
        <v>0</v>
      </c>
      <c r="AG12" s="1"/>
      <c r="AH12" s="32">
        <v>50</v>
      </c>
      <c r="AI12" s="33">
        <v>13210</v>
      </c>
      <c r="AJ12" s="32">
        <v>0</v>
      </c>
      <c r="AK12" s="1"/>
      <c r="AL12" s="1"/>
      <c r="AM12" s="1"/>
      <c r="AN12" s="1"/>
      <c r="AO12" s="1"/>
      <c r="AP12" s="1"/>
      <c r="AQ12" s="1"/>
      <c r="AR12" s="43">
        <f>IF(AL10=0,0,VLOOKUP(I7,AD7:AE15,2,0)*I8)</f>
        <v>3020</v>
      </c>
      <c r="AS12" s="49"/>
    </row>
    <row r="13" spans="1:45" ht="17.25" customHeight="1">
      <c r="A13" s="64"/>
      <c r="B13" s="64"/>
      <c r="C13" s="64"/>
      <c r="D13" s="67"/>
      <c r="E13" s="118" t="s">
        <v>25</v>
      </c>
      <c r="F13" s="84">
        <f>IF(AN8&lt;=0,"",(AN8))</f>
        <v>4</v>
      </c>
      <c r="G13" s="85">
        <f>IF(F13="","",(190))</f>
        <v>190</v>
      </c>
      <c r="H13" s="123">
        <f>IF(F13="","",(F13*G13))</f>
        <v>760</v>
      </c>
      <c r="I13" s="124"/>
      <c r="J13" s="68"/>
      <c r="K13" s="77"/>
      <c r="L13" s="77"/>
      <c r="M13" s="78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58"/>
      <c r="AC13" s="48"/>
      <c r="AD13" s="30">
        <v>75</v>
      </c>
      <c r="AE13" s="31">
        <v>38300</v>
      </c>
      <c r="AF13" s="30">
        <v>0</v>
      </c>
      <c r="AG13" s="1"/>
      <c r="AH13" s="32">
        <v>75</v>
      </c>
      <c r="AI13" s="33">
        <v>35510</v>
      </c>
      <c r="AJ13" s="32">
        <v>0</v>
      </c>
      <c r="AK13" s="1"/>
      <c r="AL13" s="125" t="s">
        <v>16</v>
      </c>
      <c r="AM13" s="126"/>
      <c r="AN13" s="3" t="s">
        <v>5</v>
      </c>
      <c r="AO13" s="3" t="s">
        <v>13</v>
      </c>
      <c r="AP13" s="3" t="s">
        <v>14</v>
      </c>
      <c r="AQ13" s="1"/>
      <c r="AR13" s="1"/>
      <c r="AS13" s="49"/>
    </row>
    <row r="14" spans="1:45" ht="17.25" customHeight="1">
      <c r="A14" s="64"/>
      <c r="B14" s="64"/>
      <c r="C14" s="64"/>
      <c r="D14" s="67"/>
      <c r="E14" s="118"/>
      <c r="F14" s="84">
        <f>AO9</f>
      </c>
      <c r="G14" s="85">
        <f>IF(F14="","",(215))</f>
      </c>
      <c r="H14" s="123">
        <f>IF(F14="","",(F14*G14))</f>
      </c>
      <c r="I14" s="124"/>
      <c r="J14" s="68"/>
      <c r="K14" s="77"/>
      <c r="L14" s="77"/>
      <c r="M14" s="78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58"/>
      <c r="AC14" s="48"/>
      <c r="AD14" s="30">
        <v>100</v>
      </c>
      <c r="AE14" s="31">
        <v>80050</v>
      </c>
      <c r="AF14" s="30">
        <v>0</v>
      </c>
      <c r="AG14" s="1"/>
      <c r="AH14" s="32">
        <v>100</v>
      </c>
      <c r="AI14" s="33">
        <v>74210</v>
      </c>
      <c r="AJ14" s="32">
        <v>0</v>
      </c>
      <c r="AK14" s="1"/>
      <c r="AL14" s="9" t="s">
        <v>6</v>
      </c>
      <c r="AM14" s="4"/>
      <c r="AN14" s="18">
        <f>IF(AL10=0,0,VLOOKUP(I7,AH7:AJ15,3,0)*I8)</f>
        <v>16</v>
      </c>
      <c r="AO14" s="19"/>
      <c r="AP14" s="14">
        <f>IF(AL10=0,0,VLOOKUP(I7,AH7:AJ15,2,0)*I8)</f>
        <v>2800</v>
      </c>
      <c r="AQ14" s="1"/>
      <c r="AR14" s="60" t="s">
        <v>10</v>
      </c>
      <c r="AS14" s="49"/>
    </row>
    <row r="15" spans="1:45" ht="17.25" customHeight="1">
      <c r="A15" s="64"/>
      <c r="B15" s="64"/>
      <c r="C15" s="64"/>
      <c r="D15" s="67"/>
      <c r="E15" s="118"/>
      <c r="F15" s="86">
        <f>+AO10</f>
      </c>
      <c r="G15" s="85">
        <f>IF(F15="","",(235))</f>
      </c>
      <c r="H15" s="123">
        <f>IF(F15="","",(F15*G15))</f>
      </c>
      <c r="I15" s="124"/>
      <c r="J15" s="68"/>
      <c r="K15" s="77"/>
      <c r="L15" s="77"/>
      <c r="M15" s="78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58"/>
      <c r="AC15" s="48"/>
      <c r="AD15" s="30">
        <v>150</v>
      </c>
      <c r="AE15" s="31">
        <v>160060</v>
      </c>
      <c r="AF15" s="30">
        <v>0</v>
      </c>
      <c r="AG15" s="1"/>
      <c r="AH15" s="32">
        <v>150</v>
      </c>
      <c r="AI15" s="33">
        <v>148400</v>
      </c>
      <c r="AJ15" s="32">
        <v>0</v>
      </c>
      <c r="AK15" s="1"/>
      <c r="AL15" s="10" t="s">
        <v>7</v>
      </c>
      <c r="AM15" s="5"/>
      <c r="AN15" s="20">
        <f>IF(AL10=0,0,IF(I9-AN14&lt;0,"0",(I9-AN14)))</f>
        <v>4</v>
      </c>
      <c r="AO15" s="21">
        <v>175</v>
      </c>
      <c r="AP15" s="15">
        <f>IF(AN15=0,0,(AN15*AO15))</f>
        <v>700</v>
      </c>
      <c r="AQ15" s="1"/>
      <c r="AR15" s="26">
        <f>IF(AL10=0,0,VLOOKUP(I7,AD7:AF15,3,0)*I8)</f>
        <v>16</v>
      </c>
      <c r="AS15" s="49"/>
    </row>
    <row r="16" spans="1:45" ht="17.25" customHeight="1">
      <c r="A16" s="64"/>
      <c r="B16" s="64"/>
      <c r="C16" s="64"/>
      <c r="D16" s="67"/>
      <c r="E16" s="118"/>
      <c r="F16" s="87">
        <f>+AN11</f>
      </c>
      <c r="G16" s="85">
        <f>IF(F16="","",(250))</f>
      </c>
      <c r="H16" s="123">
        <f>IF(F16="","",(F16*G16))</f>
      </c>
      <c r="I16" s="124"/>
      <c r="J16" s="68"/>
      <c r="K16" s="77"/>
      <c r="L16" s="77"/>
      <c r="M16" s="78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58"/>
      <c r="AC16" s="48"/>
      <c r="AD16" s="1"/>
      <c r="AE16" s="1"/>
      <c r="AF16" s="1"/>
      <c r="AG16" s="1"/>
      <c r="AH16" s="1"/>
      <c r="AI16" s="1"/>
      <c r="AJ16" s="1"/>
      <c r="AK16" s="1"/>
      <c r="AL16" s="11" t="s">
        <v>8</v>
      </c>
      <c r="AM16" s="6"/>
      <c r="AN16" s="22">
        <f>IF(AL10=0,0,AN14+AN15)</f>
        <v>20</v>
      </c>
      <c r="AO16" s="23"/>
      <c r="AP16" s="15">
        <f>+AP14+AP15</f>
        <v>3500</v>
      </c>
      <c r="AQ16" s="1"/>
      <c r="AR16" s="27">
        <f>IF(AL10=0,0,IF(OR($I$8=0.5,$I$8=1.5),IF($I$9&gt;$AR$15,($AR$15+4),($AR$15)),IF(OR($I$8=1),(8),IF(OR($I$8=2),(16)))))</f>
        <v>16</v>
      </c>
      <c r="AS16" s="49"/>
    </row>
    <row r="17" spans="1:45" ht="17.25" customHeight="1" thickBot="1">
      <c r="A17" s="64"/>
      <c r="B17" s="64"/>
      <c r="C17" s="64"/>
      <c r="D17" s="67"/>
      <c r="E17" s="81" t="s">
        <v>26</v>
      </c>
      <c r="F17" s="88">
        <f>SUM(F12:F16)</f>
        <v>20</v>
      </c>
      <c r="G17" s="89"/>
      <c r="H17" s="123">
        <f>SUM(H12:I16)</f>
        <v>3780</v>
      </c>
      <c r="I17" s="124"/>
      <c r="J17" s="68"/>
      <c r="K17" s="68"/>
      <c r="L17" s="68"/>
      <c r="M17" s="69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58"/>
      <c r="AC17" s="48"/>
      <c r="AD17" s="120" t="s">
        <v>31</v>
      </c>
      <c r="AE17" s="120"/>
      <c r="AF17" s="120"/>
      <c r="AG17" s="1"/>
      <c r="AH17" s="1"/>
      <c r="AI17" s="1"/>
      <c r="AJ17" s="1"/>
      <c r="AK17" s="1"/>
      <c r="AL17" s="12" t="s">
        <v>9</v>
      </c>
      <c r="AM17" s="7"/>
      <c r="AN17" s="24">
        <v>0.05</v>
      </c>
      <c r="AO17" s="25"/>
      <c r="AP17" s="16">
        <f>INT(AP16*0.05)</f>
        <v>175</v>
      </c>
      <c r="AQ17" s="1"/>
      <c r="AR17" s="28">
        <f>IF(AR15=0,"0",(AR16))*1</f>
        <v>16</v>
      </c>
      <c r="AS17" s="49"/>
    </row>
    <row r="18" spans="1:45" ht="17.25" customHeight="1" thickBot="1" thickTop="1">
      <c r="A18" s="64"/>
      <c r="B18" s="64"/>
      <c r="C18" s="64"/>
      <c r="D18" s="67"/>
      <c r="E18" s="90" t="s">
        <v>27</v>
      </c>
      <c r="F18" s="102">
        <v>0.1</v>
      </c>
      <c r="G18" s="91"/>
      <c r="H18" s="127">
        <f>INT(H17*F18)</f>
        <v>378</v>
      </c>
      <c r="I18" s="128"/>
      <c r="J18" s="92"/>
      <c r="K18" s="131"/>
      <c r="L18" s="131"/>
      <c r="M18" s="132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58"/>
      <c r="AC18" s="48"/>
      <c r="AD18" s="119" t="s">
        <v>37</v>
      </c>
      <c r="AE18" s="119"/>
      <c r="AF18" s="63">
        <v>0.1</v>
      </c>
      <c r="AG18" s="1"/>
      <c r="AH18" s="1"/>
      <c r="AI18" s="1"/>
      <c r="AJ18" s="1"/>
      <c r="AK18" s="1"/>
      <c r="AL18" s="13" t="s">
        <v>2</v>
      </c>
      <c r="AM18" s="8"/>
      <c r="AN18" s="2"/>
      <c r="AO18" s="2"/>
      <c r="AP18" s="17">
        <f>+AP16+AP17</f>
        <v>3675</v>
      </c>
      <c r="AQ18" s="1"/>
      <c r="AR18" s="1"/>
      <c r="AS18" s="49"/>
    </row>
    <row r="19" spans="1:45" ht="17.25" customHeight="1" thickBot="1" thickTop="1">
      <c r="A19" s="64"/>
      <c r="B19" s="64"/>
      <c r="C19" s="64"/>
      <c r="D19" s="93"/>
      <c r="E19" s="94" t="s">
        <v>28</v>
      </c>
      <c r="F19" s="95"/>
      <c r="G19" s="95"/>
      <c r="H19" s="129">
        <f>+H17+H18</f>
        <v>4158</v>
      </c>
      <c r="I19" s="130"/>
      <c r="J19" s="68"/>
      <c r="K19" s="131"/>
      <c r="L19" s="131"/>
      <c r="M19" s="132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58"/>
      <c r="AC19" s="48"/>
      <c r="AD19" s="119" t="s">
        <v>38</v>
      </c>
      <c r="AE19" s="119"/>
      <c r="AF19" s="63">
        <v>0.08</v>
      </c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49"/>
    </row>
    <row r="20" spans="1:45" ht="17.25" customHeight="1" thickBot="1" thickTop="1">
      <c r="A20" s="64"/>
      <c r="B20" s="64"/>
      <c r="C20" s="64"/>
      <c r="D20" s="67"/>
      <c r="E20" s="68"/>
      <c r="F20" s="68"/>
      <c r="G20" s="68"/>
      <c r="H20" s="68"/>
      <c r="I20" s="68"/>
      <c r="J20" s="68"/>
      <c r="K20" s="68"/>
      <c r="L20" s="68"/>
      <c r="M20" s="69"/>
      <c r="N20" s="64"/>
      <c r="O20" s="64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58"/>
      <c r="AC20" s="50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2"/>
    </row>
    <row r="21" spans="1:45" ht="17.25" customHeight="1">
      <c r="A21" s="64"/>
      <c r="B21" s="64"/>
      <c r="C21" s="64"/>
      <c r="D21" s="67"/>
      <c r="E21" s="96"/>
      <c r="F21" s="68"/>
      <c r="G21" s="68"/>
      <c r="H21" s="68"/>
      <c r="I21" s="68"/>
      <c r="J21" s="68"/>
      <c r="K21" s="68"/>
      <c r="L21" s="68"/>
      <c r="M21" s="69"/>
      <c r="N21" s="64"/>
      <c r="O21" s="64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58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7.25" customHeight="1">
      <c r="A22" s="64"/>
      <c r="B22" s="64"/>
      <c r="C22" s="64"/>
      <c r="D22" s="67"/>
      <c r="E22" s="68"/>
      <c r="F22" s="68"/>
      <c r="G22" s="68"/>
      <c r="H22" s="68"/>
      <c r="I22" s="68"/>
      <c r="J22" s="68"/>
      <c r="K22" s="68"/>
      <c r="L22" s="68"/>
      <c r="M22" s="69"/>
      <c r="N22" s="64"/>
      <c r="O22" s="64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58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27" ht="17.25" customHeight="1">
      <c r="A23" s="64"/>
      <c r="B23" s="64"/>
      <c r="C23" s="64"/>
      <c r="D23" s="67"/>
      <c r="E23" s="68"/>
      <c r="F23" s="68"/>
      <c r="G23" s="68"/>
      <c r="H23" s="68"/>
      <c r="I23" s="68"/>
      <c r="J23" s="68"/>
      <c r="K23" s="68"/>
      <c r="L23" s="68"/>
      <c r="M23" s="69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56"/>
    </row>
    <row r="24" spans="1:27" ht="14.25" customHeight="1">
      <c r="A24" s="64"/>
      <c r="B24" s="64"/>
      <c r="C24" s="64"/>
      <c r="D24" s="67"/>
      <c r="E24" s="68"/>
      <c r="F24" s="68"/>
      <c r="G24" s="68"/>
      <c r="H24" s="68"/>
      <c r="I24" s="68"/>
      <c r="J24" s="68"/>
      <c r="K24" s="68"/>
      <c r="L24" s="68"/>
      <c r="M24" s="69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56"/>
    </row>
    <row r="25" spans="1:27" ht="13.5">
      <c r="A25" s="64"/>
      <c r="B25" s="64"/>
      <c r="C25" s="64"/>
      <c r="D25" s="67"/>
      <c r="E25" s="68"/>
      <c r="F25" s="68"/>
      <c r="G25" s="68"/>
      <c r="H25" s="68"/>
      <c r="I25" s="68"/>
      <c r="J25" s="68"/>
      <c r="K25" s="68"/>
      <c r="L25" s="68"/>
      <c r="M25" s="69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56"/>
    </row>
    <row r="26" spans="1:48" ht="18.75">
      <c r="A26" s="64"/>
      <c r="B26" s="64"/>
      <c r="C26" s="64"/>
      <c r="D26" s="67"/>
      <c r="E26" s="68"/>
      <c r="F26" s="68"/>
      <c r="G26" s="68"/>
      <c r="H26" s="68"/>
      <c r="I26" s="68"/>
      <c r="J26" s="68"/>
      <c r="K26" s="68"/>
      <c r="L26" s="68"/>
      <c r="M26" s="69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56"/>
      <c r="AP26" s="53"/>
      <c r="AT26" s="55"/>
      <c r="AU26" s="54"/>
      <c r="AV26" s="54"/>
    </row>
    <row r="27" spans="1:48" ht="14.25">
      <c r="A27" s="64"/>
      <c r="B27" s="64"/>
      <c r="C27" s="64"/>
      <c r="D27" s="67"/>
      <c r="E27" s="68"/>
      <c r="F27" s="68"/>
      <c r="G27" s="68"/>
      <c r="H27" s="68"/>
      <c r="I27" s="68"/>
      <c r="J27" s="68"/>
      <c r="K27" s="68"/>
      <c r="L27" s="68"/>
      <c r="M27" s="69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56"/>
      <c r="AU27" s="54"/>
      <c r="AV27" s="54"/>
    </row>
    <row r="28" spans="1:48" ht="14.25">
      <c r="A28" s="64"/>
      <c r="B28" s="64"/>
      <c r="C28" s="64"/>
      <c r="D28" s="67"/>
      <c r="E28" s="68"/>
      <c r="F28" s="68"/>
      <c r="G28" s="68"/>
      <c r="H28" s="68"/>
      <c r="I28" s="68"/>
      <c r="J28" s="68"/>
      <c r="K28" s="68"/>
      <c r="L28" s="68"/>
      <c r="M28" s="69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56"/>
      <c r="AV28" s="54"/>
    </row>
    <row r="29" spans="1:48" ht="15" thickBot="1">
      <c r="A29" s="64"/>
      <c r="B29" s="64"/>
      <c r="C29" s="64"/>
      <c r="D29" s="97"/>
      <c r="E29" s="98"/>
      <c r="F29" s="98"/>
      <c r="G29" s="98"/>
      <c r="H29" s="98"/>
      <c r="I29" s="98"/>
      <c r="J29" s="98"/>
      <c r="K29" s="98"/>
      <c r="L29" s="98"/>
      <c r="M29" s="99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56"/>
      <c r="AV29" s="54"/>
    </row>
    <row r="30" spans="1:48" ht="15" thickTop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56"/>
      <c r="AV30" s="54"/>
    </row>
    <row r="31" spans="1:48" ht="14.2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56"/>
      <c r="AV31" s="54"/>
    </row>
    <row r="32" spans="1:48" ht="14.2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56"/>
      <c r="AU32" s="54"/>
      <c r="AV32" s="54"/>
    </row>
    <row r="33" spans="1:48" ht="14.2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56"/>
      <c r="AU33" s="54"/>
      <c r="AV33" s="54"/>
    </row>
    <row r="34" spans="19:20" ht="14.25">
      <c r="S34" s="54"/>
      <c r="T34" s="54"/>
    </row>
    <row r="35" spans="19:20" ht="14.25">
      <c r="S35" s="54"/>
      <c r="T35" s="54"/>
    </row>
    <row r="36" spans="19:20" ht="14.25">
      <c r="S36" s="54"/>
      <c r="T36" s="54"/>
    </row>
    <row r="37" spans="35:36" ht="14.25">
      <c r="AI37" s="54"/>
      <c r="AJ37" s="54"/>
    </row>
  </sheetData>
  <sheetProtection sheet="1"/>
  <protectedRanges>
    <protectedRange sqref="I7:I9" name="範囲1"/>
  </protectedRanges>
  <mergeCells count="22">
    <mergeCell ref="AL13:AM13"/>
    <mergeCell ref="H18:I18"/>
    <mergeCell ref="H19:I19"/>
    <mergeCell ref="H17:I17"/>
    <mergeCell ref="H16:I16"/>
    <mergeCell ref="H14:I14"/>
    <mergeCell ref="H15:I15"/>
    <mergeCell ref="AD18:AE18"/>
    <mergeCell ref="K18:M19"/>
    <mergeCell ref="H11:I11"/>
    <mergeCell ref="E13:E16"/>
    <mergeCell ref="AD19:AE19"/>
    <mergeCell ref="AD17:AF17"/>
    <mergeCell ref="H12:I12"/>
    <mergeCell ref="H13:I13"/>
    <mergeCell ref="AH6:AJ6"/>
    <mergeCell ref="AL6:AP6"/>
    <mergeCell ref="E7:G7"/>
    <mergeCell ref="D5:M5"/>
    <mergeCell ref="E8:G8"/>
    <mergeCell ref="E9:G9"/>
    <mergeCell ref="AD6:AF6"/>
  </mergeCells>
  <dataValidations count="3">
    <dataValidation type="list" allowBlank="1" showInputMessage="1" showErrorMessage="1" sqref="I8">
      <formula1>"0.5,1,1.5,2"</formula1>
    </dataValidation>
    <dataValidation type="list" allowBlank="1" showInputMessage="1" showErrorMessage="1" sqref="I7">
      <formula1>"13,20,25,30,40,50,75,100,,150"</formula1>
    </dataValidation>
    <dataValidation type="list" allowBlank="1" showDropDown="1" showInputMessage="1" showErrorMessage="1" sqref="F18">
      <formula1>$AF$18</formula1>
    </dataValidation>
  </dataValidations>
  <printOptions/>
  <pageMargins left="1.46" right="0.75" top="1.35" bottom="0.73" header="0.512" footer="0.38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業務課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sansui8</dc:creator>
  <cp:keywords/>
  <dc:description/>
  <cp:lastModifiedBy>sansui64</cp:lastModifiedBy>
  <cp:lastPrinted>2020-04-21T02:03:39Z</cp:lastPrinted>
  <dcterms:created xsi:type="dcterms:W3CDTF">2000-03-02T01:21:08Z</dcterms:created>
  <dcterms:modified xsi:type="dcterms:W3CDTF">2020-04-21T02:10:55Z</dcterms:modified>
  <cp:category/>
  <cp:version/>
  <cp:contentType/>
  <cp:contentStatus/>
</cp:coreProperties>
</file>